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ELL\Downloads\"/>
    </mc:Choice>
  </mc:AlternateContent>
  <xr:revisionPtr revIDLastSave="0" documentId="13_ncr:1_{ECD59825-DC90-4680-B0C0-E32FFF8C3743}" xr6:coauthVersionLast="47" xr6:coauthVersionMax="47" xr10:uidLastSave="{00000000-0000-0000-0000-000000000000}"/>
  <bookViews>
    <workbookView xWindow="-110" yWindow="-110" windowWidth="19420" windowHeight="1042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81029"/>
</workbook>
</file>

<file path=xl/calcChain.xml><?xml version="1.0" encoding="utf-8"?>
<calcChain xmlns="http://schemas.openxmlformats.org/spreadsheetml/2006/main">
  <c r="K26" i="4" l="1"/>
  <c r="L26" i="4"/>
  <c r="M26" i="4"/>
  <c r="N26" i="4" s="1"/>
  <c r="K25" i="4"/>
  <c r="K24" i="4"/>
  <c r="L23" i="4"/>
  <c r="K23" i="4"/>
  <c r="M23" i="4" s="1"/>
  <c r="N23" i="4" s="1"/>
  <c r="L22" i="4"/>
  <c r="J22" i="4"/>
  <c r="K22" i="4"/>
  <c r="M22" i="4" s="1"/>
  <c r="N22" i="4" s="1"/>
  <c r="L21" i="4"/>
  <c r="K21" i="4"/>
  <c r="L20" i="4"/>
  <c r="K20" i="4"/>
  <c r="L19" i="4"/>
  <c r="K19" i="4"/>
  <c r="M19" i="4" s="1"/>
  <c r="N19" i="4" s="1"/>
  <c r="J19" i="4"/>
  <c r="K18" i="4"/>
  <c r="L18" i="4"/>
  <c r="K17" i="4"/>
  <c r="J17" i="4"/>
  <c r="M17" i="4" s="1"/>
  <c r="N17" i="4" s="1"/>
  <c r="L17" i="4"/>
  <c r="K16" i="4"/>
  <c r="L13" i="4"/>
  <c r="K13" i="4"/>
  <c r="K12" i="4"/>
  <c r="L12" i="4"/>
  <c r="L11" i="4"/>
  <c r="K11" i="4"/>
  <c r="L10" i="4"/>
  <c r="K10" i="4"/>
  <c r="L9" i="4"/>
  <c r="K9" i="4"/>
  <c r="L8" i="4"/>
  <c r="K8" i="4"/>
  <c r="K7" i="4"/>
  <c r="M7" i="4" s="1"/>
  <c r="K6" i="4"/>
  <c r="M6" i="4" s="1"/>
  <c r="L6" i="4"/>
  <c r="L7" i="4"/>
  <c r="J6" i="4"/>
  <c r="K27" i="4"/>
  <c r="L27" i="4"/>
  <c r="J27" i="4"/>
  <c r="J23" i="4"/>
  <c r="J13" i="4"/>
  <c r="J12" i="4"/>
  <c r="J11" i="4"/>
  <c r="J10" i="4"/>
  <c r="J8" i="4"/>
  <c r="J7" i="4"/>
  <c r="L25" i="4"/>
  <c r="M25" i="4" s="1"/>
  <c r="N25" i="4" s="1"/>
  <c r="L24" i="4"/>
  <c r="L16" i="4"/>
  <c r="N16" i="4" s="1"/>
  <c r="M18" i="4"/>
  <c r="N18" i="4" s="1"/>
  <c r="M16" i="4"/>
  <c r="M15" i="4"/>
  <c r="N15" i="4" s="1"/>
  <c r="M14" i="4"/>
  <c r="N14" i="4" s="1"/>
  <c r="N13" i="4"/>
  <c r="M13" i="4"/>
  <c r="M12" i="4"/>
  <c r="N12" i="4" s="1"/>
  <c r="M10" i="4"/>
  <c r="N10" i="4" s="1"/>
  <c r="M8" i="4"/>
  <c r="N8" i="4" s="1"/>
  <c r="N5" i="4"/>
  <c r="M5" i="4"/>
  <c r="C16" i="3"/>
  <c r="M21" i="4" l="1"/>
  <c r="N21" i="4" s="1"/>
  <c r="M20" i="4"/>
  <c r="N20" i="4" s="1"/>
  <c r="M9" i="4"/>
  <c r="N9" i="4" s="1"/>
  <c r="N7" i="4"/>
  <c r="M27" i="4"/>
  <c r="N27" i="4" s="1"/>
  <c r="M11" i="4"/>
  <c r="N11" i="4" s="1"/>
  <c r="N6" i="4"/>
  <c r="M24" i="4"/>
  <c r="N24" i="4" s="1"/>
</calcChain>
</file>

<file path=xl/sharedStrings.xml><?xml version="1.0" encoding="utf-8"?>
<sst xmlns="http://schemas.openxmlformats.org/spreadsheetml/2006/main" count="217" uniqueCount="141">
  <si>
    <t>KODE MK</t>
  </si>
  <si>
    <t>A1F2A17A</t>
  </si>
  <si>
    <t>NAMA MK</t>
  </si>
  <si>
    <t>TEORI BILANGAN</t>
  </si>
  <si>
    <t>NAMA KELAS</t>
  </si>
  <si>
    <t>A</t>
  </si>
  <si>
    <t>Program Studi</t>
  </si>
  <si>
    <t>S1 PENDIDIKAN MATEMATIKA</t>
  </si>
  <si>
    <t>Fakultas</t>
  </si>
  <si>
    <t>KEGURUAN DAN ILMU PENDIDIKAN</t>
  </si>
  <si>
    <t>Semester</t>
  </si>
  <si>
    <t>Nama Dosen</t>
  </si>
  <si>
    <t>YUNITA S. ANWAR, M.Sc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</si>
  <si>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</si>
  <si>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</si>
  <si>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</si>
  <si>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</si>
  <si>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</si>
  <si>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</si>
  <si>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</si>
  <si>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</si>
  <si>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</si>
  <si>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</si>
  <si>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</si>
  <si>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</si>
  <si>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</si>
  <si>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</si>
  <si>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</si>
  <si>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</si>
  <si>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</si>
  <si>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</si>
  <si>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</si>
  <si>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</si>
  <si>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</si>
  <si>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</si>
  <si>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</si>
  <si>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</si>
  <si>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</si>
  <si>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</si>
  <si>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</si>
  <si>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</si>
  <si>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</si>
  <si>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</si>
  <si>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</si>
  <si>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</si>
  <si>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</si>
  <si>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</si>
  <si>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</si>
  <si>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</si>
  <si>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</si>
  <si>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</si>
  <si>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</si>
  <si>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</si>
  <si>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</si>
  <si>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</si>
  <si>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</si>
  <si>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</si>
  <si>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</si>
  <si>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</si>
  <si>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</si>
  <si>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</si>
  <si>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</si>
  <si>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</si>
  <si>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</si>
  <si>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TEORI BILANGAN (A1F2A17A)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</si>
  <si>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</si>
  <si>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</si>
  <si>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</si>
  <si>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</si>
  <si>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</si>
  <si>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</si>
  <si>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</si>
  <si>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</si>
  <si>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</si>
  <si>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2021A1F001</t>
  </si>
  <si>
    <t>ALDIN</t>
  </si>
  <si>
    <t>2022A1F002</t>
  </si>
  <si>
    <t>DEA HAFIDZA</t>
  </si>
  <si>
    <t>2022A1F004</t>
  </si>
  <si>
    <t>FEBI FEBRIANTI</t>
  </si>
  <si>
    <t>2022A1F006</t>
  </si>
  <si>
    <t>LAILATUL JANNAH</t>
  </si>
  <si>
    <t>2022A1F007</t>
  </si>
  <si>
    <t>LILIS SURIANI</t>
  </si>
  <si>
    <t>2022A1F008</t>
  </si>
  <si>
    <t>MARDIANTO</t>
  </si>
  <si>
    <t>2022A1F009</t>
  </si>
  <si>
    <t>MELI ANGGRIYANI</t>
  </si>
  <si>
    <t>2022A1F010</t>
  </si>
  <si>
    <t>NUR ISTIQAMAH</t>
  </si>
  <si>
    <t>2022A1F011</t>
  </si>
  <si>
    <t>NURWAHIDAH</t>
  </si>
  <si>
    <t>2022A1F012</t>
  </si>
  <si>
    <t>YOHANA HESTA</t>
  </si>
  <si>
    <t>2022A1F013</t>
  </si>
  <si>
    <t>ADELIA NURUL KHOTIMAH</t>
  </si>
  <si>
    <t>BAIQ INDHIRA EKA SUWANDINI</t>
  </si>
  <si>
    <t>HENDI HIDAYAH</t>
  </si>
  <si>
    <t>IKHWANUL MUSLIMIN</t>
  </si>
  <si>
    <t>ISTIKATUNISAH</t>
  </si>
  <si>
    <t>LAELA SAFITRI</t>
  </si>
  <si>
    <t>FITRAH UTAMI PUTRI</t>
  </si>
  <si>
    <t>SAFARUDDIN</t>
  </si>
  <si>
    <t>SUPARDI</t>
  </si>
  <si>
    <t>DELISTA APRILIYA</t>
  </si>
  <si>
    <t>DWI SURYO PUTRO</t>
  </si>
  <si>
    <t>ZAMRATUL ASWAD</t>
  </si>
  <si>
    <t>MUH. RIZ ULFIANDY</t>
  </si>
  <si>
    <t>Keaktifan dan Tanggung Jawab</t>
  </si>
  <si>
    <t>Activity and Responsibility</t>
  </si>
  <si>
    <t>-</t>
  </si>
  <si>
    <t>Tugas sebelum UTS dan UAS</t>
  </si>
  <si>
    <t>Worksheet before Middle Test and Final Test</t>
  </si>
  <si>
    <t>Middle Test</t>
  </si>
  <si>
    <t>Final Test</t>
  </si>
  <si>
    <t>Bilangan Bulat dan Keterbagian</t>
  </si>
  <si>
    <t>Sifat-Sifat Keterbagian</t>
  </si>
  <si>
    <t>Kekongruenan</t>
  </si>
  <si>
    <t>Bilangan Prima</t>
  </si>
  <si>
    <t>Sifat-Sifat Bilangan Prima</t>
  </si>
  <si>
    <t>FPB</t>
  </si>
  <si>
    <t>KPK</t>
  </si>
  <si>
    <t>Sifat-Sifat FPB dan KPK</t>
  </si>
  <si>
    <t>Pengantar Kriptografi</t>
  </si>
  <si>
    <t>Teorema Fermat dan Wilson</t>
  </si>
  <si>
    <t>Sifat-Sifat Kekongruenan</t>
  </si>
  <si>
    <t>Persamaan Diophantine</t>
  </si>
  <si>
    <t>Teorema Sisa China</t>
  </si>
  <si>
    <t>Integers and Divisibility</t>
  </si>
  <si>
    <t>Properties of Divisibility</t>
  </si>
  <si>
    <t>GCD</t>
  </si>
  <si>
    <t>LCM</t>
  </si>
  <si>
    <t>Properties of GCD and LCM</t>
  </si>
  <si>
    <t>Prime Numbers</t>
  </si>
  <si>
    <t>Properties of Prime Numbers</t>
  </si>
  <si>
    <t>Congruences</t>
  </si>
  <si>
    <t>Properties of Congruence</t>
  </si>
  <si>
    <t>Diophantine Equations</t>
  </si>
  <si>
    <t>Chinese Remainder Theorem</t>
  </si>
  <si>
    <t>Fermat's Theorem and Wilson's Theorem</t>
  </si>
  <si>
    <t>Cryptography (Introduction)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</si>
</sst>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7" workbookViewId="0">
      <selection activeCell="B28" sqref="B28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115</v>
      </c>
      <c r="C10" s="3" t="s">
        <v>128</v>
      </c>
      <c r="D10">
        <v>1234583376</v>
      </c>
    </row>
    <row r="11" spans="1:4" x14ac:dyDescent="0.35">
      <c r="A11">
        <v>2</v>
      </c>
      <c r="B11" s="3" t="s">
        <v>116</v>
      </c>
      <c r="C11" s="3" t="s">
        <v>129</v>
      </c>
      <c r="D11">
        <v>1234583376</v>
      </c>
    </row>
    <row r="12" spans="1:4" x14ac:dyDescent="0.35">
      <c r="A12">
        <v>3</v>
      </c>
      <c r="B12" s="3" t="s">
        <v>120</v>
      </c>
      <c r="C12" s="3" t="s">
        <v>130</v>
      </c>
      <c r="D12">
        <v>1234583376</v>
      </c>
    </row>
    <row r="13" spans="1:4" x14ac:dyDescent="0.35">
      <c r="A13">
        <v>4</v>
      </c>
      <c r="B13" s="3" t="s">
        <v>121</v>
      </c>
      <c r="C13" s="3" t="s">
        <v>131</v>
      </c>
      <c r="D13">
        <v>1234583376</v>
      </c>
    </row>
    <row r="14" spans="1:4" x14ac:dyDescent="0.35">
      <c r="A14">
        <v>5</v>
      </c>
      <c r="B14" s="3" t="s">
        <v>122</v>
      </c>
      <c r="C14" s="3" t="s">
        <v>132</v>
      </c>
      <c r="D14">
        <v>1234583376</v>
      </c>
    </row>
    <row r="15" spans="1:4" x14ac:dyDescent="0.35">
      <c r="A15">
        <v>6</v>
      </c>
      <c r="B15" s="3" t="s">
        <v>118</v>
      </c>
      <c r="C15" s="3" t="s">
        <v>133</v>
      </c>
      <c r="D15">
        <v>1234583376</v>
      </c>
    </row>
    <row r="16" spans="1:4" x14ac:dyDescent="0.35">
      <c r="A16">
        <v>7</v>
      </c>
      <c r="B16" s="3" t="s">
        <v>119</v>
      </c>
      <c r="C16" s="3" t="s">
        <v>134</v>
      </c>
      <c r="D16">
        <v>1234583376</v>
      </c>
    </row>
    <row r="17" spans="1:4" x14ac:dyDescent="0.35">
      <c r="A17">
        <v>8</v>
      </c>
      <c r="B17" s="3" t="s">
        <v>70</v>
      </c>
      <c r="C17" s="3" t="s">
        <v>113</v>
      </c>
      <c r="D17">
        <v>1234583376</v>
      </c>
    </row>
    <row r="18" spans="1:4" x14ac:dyDescent="0.35">
      <c r="A18">
        <v>9</v>
      </c>
      <c r="B18" s="3" t="s">
        <v>117</v>
      </c>
      <c r="C18" s="3" t="s">
        <v>135</v>
      </c>
      <c r="D18">
        <v>1234583376</v>
      </c>
    </row>
    <row r="19" spans="1:4" x14ac:dyDescent="0.35">
      <c r="A19">
        <v>10</v>
      </c>
      <c r="B19" s="3" t="s">
        <v>125</v>
      </c>
      <c r="C19" s="3" t="s">
        <v>136</v>
      </c>
      <c r="D19">
        <v>1234583376</v>
      </c>
    </row>
    <row r="20" spans="1:4" x14ac:dyDescent="0.35">
      <c r="A20">
        <v>11</v>
      </c>
      <c r="B20" s="3" t="s">
        <v>126</v>
      </c>
      <c r="C20" s="3" t="s">
        <v>137</v>
      </c>
      <c r="D20">
        <v>1234583376</v>
      </c>
    </row>
    <row r="21" spans="1:4" x14ac:dyDescent="0.35">
      <c r="A21">
        <v>12</v>
      </c>
      <c r="B21" s="3" t="s">
        <v>127</v>
      </c>
      <c r="C21" s="3" t="s">
        <v>138</v>
      </c>
      <c r="D21">
        <v>1234583376</v>
      </c>
    </row>
    <row r="22" spans="1:4" x14ac:dyDescent="0.35">
      <c r="A22">
        <v>13</v>
      </c>
      <c r="B22" s="3" t="s">
        <v>127</v>
      </c>
      <c r="C22" s="3" t="s">
        <v>138</v>
      </c>
      <c r="D22">
        <v>1234583376</v>
      </c>
    </row>
    <row r="23" spans="1:4" x14ac:dyDescent="0.35">
      <c r="A23">
        <v>14</v>
      </c>
      <c r="B23" s="3" t="s">
        <v>124</v>
      </c>
      <c r="C23" s="3" t="s">
        <v>139</v>
      </c>
      <c r="D23">
        <v>1234583376</v>
      </c>
    </row>
    <row r="24" spans="1:4" x14ac:dyDescent="0.35">
      <c r="A24">
        <v>15</v>
      </c>
      <c r="B24" s="3" t="s">
        <v>123</v>
      </c>
      <c r="C24" s="3" t="s">
        <v>140</v>
      </c>
      <c r="D24">
        <v>1234583376</v>
      </c>
    </row>
    <row r="25" spans="1:4" x14ac:dyDescent="0.35">
      <c r="A25">
        <v>16</v>
      </c>
      <c r="B25" s="3" t="s">
        <v>71</v>
      </c>
      <c r="C25" s="3" t="s">
        <v>114</v>
      </c>
      <c r="D25">
        <v>1234583376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0" sqref="D10:E15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35">
      <c r="A10">
        <v>1</v>
      </c>
      <c r="B10" t="s">
        <v>58</v>
      </c>
      <c r="C10" s="9">
        <v>0.1</v>
      </c>
      <c r="D10" s="3" t="s">
        <v>108</v>
      </c>
      <c r="E10" s="3" t="s">
        <v>109</v>
      </c>
      <c r="F10">
        <v>1234583376</v>
      </c>
    </row>
    <row r="11" spans="1:6" x14ac:dyDescent="0.35">
      <c r="A11">
        <v>2</v>
      </c>
      <c r="B11" t="s">
        <v>59</v>
      </c>
      <c r="C11" s="9"/>
      <c r="D11" s="3" t="s">
        <v>110</v>
      </c>
      <c r="E11" s="3" t="s">
        <v>110</v>
      </c>
      <c r="F11">
        <v>1234583376</v>
      </c>
    </row>
    <row r="12" spans="1:6" x14ac:dyDescent="0.35">
      <c r="A12">
        <v>3</v>
      </c>
      <c r="B12" t="s">
        <v>60</v>
      </c>
      <c r="C12" s="9"/>
      <c r="D12" s="3" t="s">
        <v>110</v>
      </c>
      <c r="E12" s="3" t="s">
        <v>110</v>
      </c>
      <c r="F12">
        <v>1234583376</v>
      </c>
    </row>
    <row r="13" spans="1:6" x14ac:dyDescent="0.35">
      <c r="A13">
        <v>4</v>
      </c>
      <c r="B13" t="s">
        <v>61</v>
      </c>
      <c r="C13" s="9">
        <v>0.2</v>
      </c>
      <c r="D13" s="3" t="s">
        <v>111</v>
      </c>
      <c r="E13" s="3" t="s">
        <v>112</v>
      </c>
      <c r="F13">
        <v>1234583376</v>
      </c>
    </row>
    <row r="14" spans="1:6" x14ac:dyDescent="0.35">
      <c r="A14">
        <v>5</v>
      </c>
      <c r="B14" t="s">
        <v>62</v>
      </c>
      <c r="C14" s="9">
        <v>0.35</v>
      </c>
      <c r="D14" s="3" t="s">
        <v>70</v>
      </c>
      <c r="E14" s="3" t="s">
        <v>113</v>
      </c>
      <c r="F14">
        <v>1234583376</v>
      </c>
    </row>
    <row r="15" spans="1:6" x14ac:dyDescent="0.35">
      <c r="A15">
        <v>6</v>
      </c>
      <c r="B15" t="s">
        <v>63</v>
      </c>
      <c r="C15" s="9">
        <v>0.35</v>
      </c>
      <c r="D15" s="3" t="s">
        <v>71</v>
      </c>
      <c r="E15" s="3" t="s">
        <v>114</v>
      </c>
      <c r="F15">
        <v>1234583376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7"/>
  <sheetViews>
    <sheetView tabSelected="1" topLeftCell="C7" workbookViewId="0">
      <selection activeCell="M27" sqref="M27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52</v>
      </c>
      <c r="B3" s="1" t="s">
        <v>65</v>
      </c>
      <c r="C3" s="1" t="s">
        <v>66</v>
      </c>
      <c r="D3" s="1" t="s">
        <v>67</v>
      </c>
      <c r="E3" s="1" t="s">
        <v>68</v>
      </c>
      <c r="F3" s="1" t="s">
        <v>69</v>
      </c>
      <c r="G3" s="1" t="s">
        <v>58</v>
      </c>
      <c r="H3" s="1" t="s">
        <v>59</v>
      </c>
      <c r="I3" s="1" t="s">
        <v>60</v>
      </c>
      <c r="J3" s="1" t="s">
        <v>61</v>
      </c>
      <c r="K3" s="1" t="s">
        <v>70</v>
      </c>
      <c r="L3" s="1" t="s">
        <v>71</v>
      </c>
      <c r="M3" s="1" t="s">
        <v>72</v>
      </c>
      <c r="N3" s="1" t="s">
        <v>73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74</v>
      </c>
      <c r="C5" t="s">
        <v>75</v>
      </c>
      <c r="D5">
        <v>156754</v>
      </c>
      <c r="E5" t="s">
        <v>1</v>
      </c>
      <c r="F5" t="s">
        <v>3</v>
      </c>
      <c r="G5" s="3">
        <v>0</v>
      </c>
      <c r="H5" s="3"/>
      <c r="I5" s="3"/>
      <c r="J5" s="3">
        <v>0</v>
      </c>
      <c r="K5" s="3">
        <v>0</v>
      </c>
      <c r="L5" s="3">
        <v>0</v>
      </c>
      <c r="M5">
        <f>G5*Komponen!C10 + H5*Komponen!C11 + I5*Komponen!C12 + J5*Komponen!C13 + K5*Komponen!C14 + L5*Komponen!C15</f>
        <v>0</v>
      </c>
      <c r="N5" t="str">
        <f t="shared" ref="N5:N27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T</v>
      </c>
    </row>
    <row r="6" spans="1:14" x14ac:dyDescent="0.35">
      <c r="A6">
        <v>2</v>
      </c>
      <c r="B6" t="s">
        <v>76</v>
      </c>
      <c r="C6" t="s">
        <v>77</v>
      </c>
      <c r="D6">
        <v>155606</v>
      </c>
      <c r="E6" t="s">
        <v>1</v>
      </c>
      <c r="F6" t="s">
        <v>3</v>
      </c>
      <c r="G6" s="3">
        <v>60</v>
      </c>
      <c r="H6" s="3"/>
      <c r="I6" s="3"/>
      <c r="J6" s="3">
        <f>25+50</f>
        <v>75</v>
      </c>
      <c r="K6" s="3">
        <f>27+16</f>
        <v>43</v>
      </c>
      <c r="L6" s="3">
        <f>35+5</f>
        <v>40</v>
      </c>
      <c r="M6">
        <f>G6*Komponen!C10 + H6*Komponen!C11 + I6*Komponen!C12 + J6*Komponen!C13 + K6*Komponen!C14 + L6*Komponen!C15</f>
        <v>50.05</v>
      </c>
      <c r="N6" t="str">
        <f t="shared" si="0"/>
        <v>C</v>
      </c>
    </row>
    <row r="7" spans="1:14" x14ac:dyDescent="0.35">
      <c r="A7">
        <v>3</v>
      </c>
      <c r="B7" t="s">
        <v>78</v>
      </c>
      <c r="C7" t="s">
        <v>79</v>
      </c>
      <c r="D7">
        <v>155546</v>
      </c>
      <c r="E7" t="s">
        <v>1</v>
      </c>
      <c r="F7" t="s">
        <v>3</v>
      </c>
      <c r="G7" s="3">
        <v>60</v>
      </c>
      <c r="H7" s="3"/>
      <c r="I7" s="3"/>
      <c r="J7" s="3">
        <f>15+50</f>
        <v>65</v>
      </c>
      <c r="K7" s="3">
        <f>29+13</f>
        <v>42</v>
      </c>
      <c r="L7" s="3">
        <f>44+4</f>
        <v>48</v>
      </c>
      <c r="M7">
        <f>G7*Komponen!C10 + H7*Komponen!C11 + I7*Komponen!C12 + J7*Komponen!C13 + K7*Komponen!C14 + L7*Komponen!C15</f>
        <v>50.5</v>
      </c>
      <c r="N7" t="str">
        <f t="shared" si="0"/>
        <v>C</v>
      </c>
    </row>
    <row r="8" spans="1:14" x14ac:dyDescent="0.35">
      <c r="A8">
        <v>4</v>
      </c>
      <c r="B8" t="s">
        <v>80</v>
      </c>
      <c r="C8" t="s">
        <v>81</v>
      </c>
      <c r="D8">
        <v>154459</v>
      </c>
      <c r="E8" t="s">
        <v>1</v>
      </c>
      <c r="F8" t="s">
        <v>3</v>
      </c>
      <c r="G8" s="3">
        <v>60</v>
      </c>
      <c r="H8" s="3"/>
      <c r="I8" s="3"/>
      <c r="J8" s="3">
        <f>4+65</f>
        <v>69</v>
      </c>
      <c r="K8" s="3">
        <f>20+25</f>
        <v>45</v>
      </c>
      <c r="L8" s="3">
        <f>38+5</f>
        <v>43</v>
      </c>
      <c r="M8">
        <f>G8*Komponen!C10 + H8*Komponen!C11 + I8*Komponen!C12 + J8*Komponen!C13 + K8*Komponen!C14 + L8*Komponen!C15</f>
        <v>50.599999999999994</v>
      </c>
      <c r="N8" t="str">
        <f t="shared" si="0"/>
        <v>C</v>
      </c>
    </row>
    <row r="9" spans="1:14" x14ac:dyDescent="0.35">
      <c r="A9">
        <v>5</v>
      </c>
      <c r="B9" t="s">
        <v>82</v>
      </c>
      <c r="C9" t="s">
        <v>83</v>
      </c>
      <c r="D9">
        <v>155569</v>
      </c>
      <c r="E9" t="s">
        <v>1</v>
      </c>
      <c r="F9" t="s">
        <v>3</v>
      </c>
      <c r="G9" s="3">
        <v>60</v>
      </c>
      <c r="H9" s="3"/>
      <c r="I9" s="3"/>
      <c r="J9" s="3">
        <v>70</v>
      </c>
      <c r="K9" s="3">
        <f>30+15</f>
        <v>45</v>
      </c>
      <c r="L9" s="3">
        <f>39+5</f>
        <v>44</v>
      </c>
      <c r="M9">
        <f>G9*Komponen!C10 + H9*Komponen!C11 + I9*Komponen!C12 + J9*Komponen!C13 + K9*Komponen!C14 + L9*Komponen!C15</f>
        <v>51.15</v>
      </c>
      <c r="N9" t="str">
        <f t="shared" si="0"/>
        <v>C</v>
      </c>
    </row>
    <row r="10" spans="1:14" x14ac:dyDescent="0.35">
      <c r="A10">
        <v>6</v>
      </c>
      <c r="B10" t="s">
        <v>84</v>
      </c>
      <c r="C10" t="s">
        <v>85</v>
      </c>
      <c r="D10">
        <v>156111</v>
      </c>
      <c r="E10" t="s">
        <v>1</v>
      </c>
      <c r="F10" t="s">
        <v>3</v>
      </c>
      <c r="G10" s="3">
        <v>70</v>
      </c>
      <c r="H10" s="3"/>
      <c r="I10" s="3"/>
      <c r="J10" s="3">
        <f>9+65</f>
        <v>74</v>
      </c>
      <c r="K10" s="3">
        <f>29+25</f>
        <v>54</v>
      </c>
      <c r="L10" s="3">
        <f>29+14</f>
        <v>43</v>
      </c>
      <c r="M10">
        <f>G10*Komponen!C10 + H10*Komponen!C11 + I10*Komponen!C12 + J10*Komponen!C13 + K10*Komponen!C14 + L10*Komponen!C15</f>
        <v>55.75</v>
      </c>
      <c r="N10" t="str">
        <f t="shared" si="0"/>
        <v>C+</v>
      </c>
    </row>
    <row r="11" spans="1:14" x14ac:dyDescent="0.35">
      <c r="A11">
        <v>7</v>
      </c>
      <c r="B11" t="s">
        <v>86</v>
      </c>
      <c r="C11" t="s">
        <v>87</v>
      </c>
      <c r="D11">
        <v>155517</v>
      </c>
      <c r="E11" t="s">
        <v>1</v>
      </c>
      <c r="F11" t="s">
        <v>3</v>
      </c>
      <c r="G11" s="3">
        <v>60</v>
      </c>
      <c r="H11" s="3"/>
      <c r="I11" s="3"/>
      <c r="J11" s="3">
        <f>9+65</f>
        <v>74</v>
      </c>
      <c r="K11" s="3">
        <f>39+19</f>
        <v>58</v>
      </c>
      <c r="L11" s="3">
        <f>35+5</f>
        <v>40</v>
      </c>
      <c r="M11">
        <f>G11*Komponen!C10 + H11*Komponen!C11 + I11*Komponen!C12 + J11*Komponen!C13 + K11*Komponen!C14 + L11*Komponen!C15</f>
        <v>55.099999999999994</v>
      </c>
      <c r="N11" t="str">
        <f t="shared" si="0"/>
        <v>C+</v>
      </c>
    </row>
    <row r="12" spans="1:14" x14ac:dyDescent="0.35">
      <c r="A12">
        <v>8</v>
      </c>
      <c r="B12" t="s">
        <v>88</v>
      </c>
      <c r="C12" t="s">
        <v>89</v>
      </c>
      <c r="D12">
        <v>155556</v>
      </c>
      <c r="E12" t="s">
        <v>1</v>
      </c>
      <c r="F12" t="s">
        <v>3</v>
      </c>
      <c r="G12" s="3">
        <v>60</v>
      </c>
      <c r="H12" s="3"/>
      <c r="I12" s="3"/>
      <c r="J12" s="3">
        <f>25+50</f>
        <v>75</v>
      </c>
      <c r="K12" s="3">
        <f>20+21</f>
        <v>41</v>
      </c>
      <c r="L12" s="3">
        <f>35+7</f>
        <v>42</v>
      </c>
      <c r="M12">
        <f>G12*Komponen!C10 + H12*Komponen!C11 + I12*Komponen!C12 + J12*Komponen!C13 + K12*Komponen!C14 + L12*Komponen!C15</f>
        <v>50.05</v>
      </c>
      <c r="N12" t="str">
        <f t="shared" si="0"/>
        <v>C</v>
      </c>
    </row>
    <row r="13" spans="1:14" x14ac:dyDescent="0.35">
      <c r="A13">
        <v>9</v>
      </c>
      <c r="B13" t="s">
        <v>90</v>
      </c>
      <c r="C13" t="s">
        <v>91</v>
      </c>
      <c r="D13">
        <v>155720</v>
      </c>
      <c r="E13" t="s">
        <v>1</v>
      </c>
      <c r="F13" t="s">
        <v>3</v>
      </c>
      <c r="G13" s="3">
        <v>60</v>
      </c>
      <c r="H13" s="3"/>
      <c r="I13" s="3"/>
      <c r="J13" s="3">
        <f>9+70</f>
        <v>79</v>
      </c>
      <c r="K13" s="3">
        <f>29+12</f>
        <v>41</v>
      </c>
      <c r="L13" s="3">
        <f>35+5</f>
        <v>40</v>
      </c>
      <c r="M13">
        <f>G13*Komponen!C10 + H13*Komponen!C11 + I13*Komponen!C12 + J13*Komponen!C13 + K13*Komponen!C14 + L13*Komponen!C15</f>
        <v>50.15</v>
      </c>
      <c r="N13" t="str">
        <f t="shared" si="0"/>
        <v>C</v>
      </c>
    </row>
    <row r="14" spans="1:14" x14ac:dyDescent="0.35">
      <c r="A14">
        <v>10</v>
      </c>
      <c r="B14" t="s">
        <v>92</v>
      </c>
      <c r="C14" t="s">
        <v>93</v>
      </c>
      <c r="D14">
        <v>155568</v>
      </c>
      <c r="E14" t="s">
        <v>1</v>
      </c>
      <c r="F14" t="s">
        <v>3</v>
      </c>
      <c r="G14" s="3">
        <v>0</v>
      </c>
      <c r="H14" s="3"/>
      <c r="I14" s="3"/>
      <c r="J14" s="3">
        <v>70</v>
      </c>
      <c r="K14" s="3">
        <v>26</v>
      </c>
      <c r="L14" s="3">
        <v>0</v>
      </c>
      <c r="M14">
        <f>G14*Komponen!C10 + H14*Komponen!C11 + I14*Komponen!C12 + J14*Komponen!C13 + K14*Komponen!C14 + L14*Komponen!C15</f>
        <v>23.1</v>
      </c>
      <c r="N14" t="str">
        <f t="shared" si="0"/>
        <v>E</v>
      </c>
    </row>
    <row r="15" spans="1:14" x14ac:dyDescent="0.35">
      <c r="A15">
        <v>11</v>
      </c>
      <c r="B15" t="s">
        <v>94</v>
      </c>
      <c r="C15" t="s">
        <v>95</v>
      </c>
      <c r="D15">
        <v>155564</v>
      </c>
      <c r="E15" t="s">
        <v>1</v>
      </c>
      <c r="F15" t="s">
        <v>3</v>
      </c>
      <c r="G15" s="3">
        <v>0</v>
      </c>
      <c r="H15" s="3"/>
      <c r="I15" s="3"/>
      <c r="J15" s="3">
        <v>50</v>
      </c>
      <c r="K15" s="3">
        <v>15</v>
      </c>
      <c r="L15" s="3">
        <v>0</v>
      </c>
      <c r="M15">
        <f>G15*Komponen!C10 + H15*Komponen!C11 + I15*Komponen!C12 + J15*Komponen!C13 + K15*Komponen!C14 + L15*Komponen!C15</f>
        <v>15.25</v>
      </c>
      <c r="N15" t="str">
        <f t="shared" si="0"/>
        <v>E</v>
      </c>
    </row>
    <row r="16" spans="1:14" x14ac:dyDescent="0.35">
      <c r="A16">
        <v>12</v>
      </c>
      <c r="B16">
        <v>20230110600001</v>
      </c>
      <c r="C16" t="s">
        <v>96</v>
      </c>
      <c r="D16">
        <v>155013</v>
      </c>
      <c r="E16" t="s">
        <v>1</v>
      </c>
      <c r="F16" t="s">
        <v>3</v>
      </c>
      <c r="G16" s="3">
        <v>70</v>
      </c>
      <c r="H16" s="3"/>
      <c r="I16" s="3"/>
      <c r="J16" s="3">
        <v>80</v>
      </c>
      <c r="K16" s="3">
        <f>15+20</f>
        <v>35</v>
      </c>
      <c r="L16" s="3">
        <f>28+22</f>
        <v>50</v>
      </c>
      <c r="M16">
        <f>G16*Komponen!C10 + H16*Komponen!C11 + I16*Komponen!C12 + J16*Komponen!C13 + K16*Komponen!C14 + L16*Komponen!C15</f>
        <v>52.75</v>
      </c>
      <c r="N16" t="str">
        <f t="shared" si="0"/>
        <v>C</v>
      </c>
    </row>
    <row r="17" spans="1:14" x14ac:dyDescent="0.35">
      <c r="A17">
        <v>13</v>
      </c>
      <c r="B17">
        <v>20230110600002</v>
      </c>
      <c r="C17" t="s">
        <v>97</v>
      </c>
      <c r="D17">
        <v>153763</v>
      </c>
      <c r="E17" t="s">
        <v>1</v>
      </c>
      <c r="F17" t="s">
        <v>3</v>
      </c>
      <c r="G17" s="3">
        <v>80</v>
      </c>
      <c r="H17" s="3"/>
      <c r="I17" s="3"/>
      <c r="J17" s="3">
        <f>25+60</f>
        <v>85</v>
      </c>
      <c r="K17" s="3">
        <f>29+49</f>
        <v>78</v>
      </c>
      <c r="L17" s="3">
        <f>22+47</f>
        <v>69</v>
      </c>
      <c r="M17">
        <f>G17*Komponen!C10 + H17*Komponen!C11 + I17*Komponen!C12 + J17*Komponen!C13 + K17*Komponen!C14 + L17*Komponen!C15</f>
        <v>76.449999999999989</v>
      </c>
      <c r="N17" t="str">
        <f t="shared" si="0"/>
        <v>A-</v>
      </c>
    </row>
    <row r="18" spans="1:14" x14ac:dyDescent="0.35">
      <c r="A18">
        <v>14</v>
      </c>
      <c r="B18">
        <v>20230110600003</v>
      </c>
      <c r="C18" t="s">
        <v>98</v>
      </c>
      <c r="D18">
        <v>153781</v>
      </c>
      <c r="E18" t="s">
        <v>1</v>
      </c>
      <c r="F18" t="s">
        <v>3</v>
      </c>
      <c r="G18" s="3">
        <v>80</v>
      </c>
      <c r="H18" s="3"/>
      <c r="I18" s="3"/>
      <c r="J18" s="3">
        <v>90</v>
      </c>
      <c r="K18" s="3">
        <f>25+18</f>
        <v>43</v>
      </c>
      <c r="L18" s="3">
        <f>35+5</f>
        <v>40</v>
      </c>
      <c r="M18">
        <f>G18*Komponen!C10 + H18*Komponen!C11 + I18*Komponen!C12 + J18*Komponen!C13 + K18*Komponen!C14 + L18*Komponen!C15</f>
        <v>55.05</v>
      </c>
      <c r="N18" t="str">
        <f t="shared" si="0"/>
        <v>C+</v>
      </c>
    </row>
    <row r="19" spans="1:14" x14ac:dyDescent="0.35">
      <c r="A19">
        <v>15</v>
      </c>
      <c r="B19">
        <v>20230110600004</v>
      </c>
      <c r="C19" t="s">
        <v>99</v>
      </c>
      <c r="D19">
        <v>153982</v>
      </c>
      <c r="E19" t="s">
        <v>1</v>
      </c>
      <c r="F19" t="s">
        <v>3</v>
      </c>
      <c r="G19" s="3">
        <v>85</v>
      </c>
      <c r="H19" s="3"/>
      <c r="I19" s="3"/>
      <c r="J19" s="3">
        <f>25+60</f>
        <v>85</v>
      </c>
      <c r="K19" s="3">
        <f>20+59</f>
        <v>79</v>
      </c>
      <c r="L19" s="3">
        <f>37+32</f>
        <v>69</v>
      </c>
      <c r="M19">
        <f>G19*Komponen!C10 + H19*Komponen!C11 + I19*Komponen!C12 + J19*Komponen!C13 + K19*Komponen!C14 + L19*Komponen!C15</f>
        <v>77.3</v>
      </c>
      <c r="N19" t="str">
        <f t="shared" si="0"/>
        <v>A-</v>
      </c>
    </row>
    <row r="20" spans="1:14" x14ac:dyDescent="0.35">
      <c r="A20">
        <v>16</v>
      </c>
      <c r="B20">
        <v>20230110600005</v>
      </c>
      <c r="C20" t="s">
        <v>100</v>
      </c>
      <c r="D20">
        <v>153749</v>
      </c>
      <c r="E20" t="s">
        <v>1</v>
      </c>
      <c r="F20" t="s">
        <v>3</v>
      </c>
      <c r="G20" s="3">
        <v>80</v>
      </c>
      <c r="H20" s="3"/>
      <c r="I20" s="3"/>
      <c r="J20" s="3">
        <v>90</v>
      </c>
      <c r="K20" s="3">
        <f>19+25</f>
        <v>44</v>
      </c>
      <c r="L20" s="3">
        <f>30+8</f>
        <v>38</v>
      </c>
      <c r="M20">
        <f>G20*Komponen!C10 + H20*Komponen!C11 + I20*Komponen!C12 + J20*Komponen!C13 + K20*Komponen!C14 + L20*Komponen!C15</f>
        <v>54.699999999999996</v>
      </c>
      <c r="N20" t="str">
        <f t="shared" si="0"/>
        <v>C</v>
      </c>
    </row>
    <row r="21" spans="1:14" x14ac:dyDescent="0.35">
      <c r="A21">
        <v>17</v>
      </c>
      <c r="B21">
        <v>20230110600006</v>
      </c>
      <c r="C21" t="s">
        <v>101</v>
      </c>
      <c r="D21">
        <v>153745</v>
      </c>
      <c r="E21" t="s">
        <v>1</v>
      </c>
      <c r="F21" t="s">
        <v>3</v>
      </c>
      <c r="G21" s="3">
        <v>85</v>
      </c>
      <c r="H21" s="3"/>
      <c r="I21" s="3"/>
      <c r="J21" s="3">
        <v>70</v>
      </c>
      <c r="K21" s="3">
        <f>29+19</f>
        <v>48</v>
      </c>
      <c r="L21" s="3">
        <f>45+17</f>
        <v>62</v>
      </c>
      <c r="M21">
        <f>G21*Komponen!C10 + H21*Komponen!C11 + I21*Komponen!C12 + J21*Komponen!C13 + K21*Komponen!C14 + L21*Komponen!C15</f>
        <v>61</v>
      </c>
      <c r="N21" t="str">
        <f t="shared" si="0"/>
        <v>B-</v>
      </c>
    </row>
    <row r="22" spans="1:14" x14ac:dyDescent="0.35">
      <c r="A22">
        <v>18</v>
      </c>
      <c r="B22">
        <v>20230110600007</v>
      </c>
      <c r="C22" t="s">
        <v>102</v>
      </c>
      <c r="D22">
        <v>154254</v>
      </c>
      <c r="E22" t="s">
        <v>1</v>
      </c>
      <c r="F22" t="s">
        <v>3</v>
      </c>
      <c r="G22" s="3">
        <v>85</v>
      </c>
      <c r="H22" s="3">
        <v>0</v>
      </c>
      <c r="I22" s="3">
        <v>0</v>
      </c>
      <c r="J22" s="3">
        <f>15+70</f>
        <v>85</v>
      </c>
      <c r="K22" s="3">
        <f>28+41</f>
        <v>69</v>
      </c>
      <c r="L22" s="3">
        <f>70+18</f>
        <v>88</v>
      </c>
      <c r="M22">
        <f>G22*Komponen!C10 + H22*Komponen!C11 + I22*Komponen!C12 + J22*Komponen!C13 + K22*Komponen!C14 + L22*Komponen!C15</f>
        <v>80.449999999999989</v>
      </c>
      <c r="N22" t="str">
        <f t="shared" si="0"/>
        <v>A</v>
      </c>
    </row>
    <row r="23" spans="1:14" x14ac:dyDescent="0.35">
      <c r="A23">
        <v>19</v>
      </c>
      <c r="B23">
        <v>20230110600008</v>
      </c>
      <c r="C23" t="s">
        <v>103</v>
      </c>
      <c r="D23">
        <v>153953</v>
      </c>
      <c r="E23" t="s">
        <v>1</v>
      </c>
      <c r="F23" t="s">
        <v>3</v>
      </c>
      <c r="G23" s="3">
        <v>85</v>
      </c>
      <c r="H23" s="3"/>
      <c r="I23" s="3"/>
      <c r="J23" s="3">
        <f>15+60</f>
        <v>75</v>
      </c>
      <c r="K23" s="3">
        <f>17+48</f>
        <v>65</v>
      </c>
      <c r="L23" s="3">
        <f>23+23</f>
        <v>46</v>
      </c>
      <c r="M23">
        <f>G23*Komponen!C10 + H23*Komponen!C11 + I23*Komponen!C12 + J23*Komponen!C13 + K23*Komponen!C14 + L23*Komponen!C15</f>
        <v>62.349999999999994</v>
      </c>
      <c r="N23" t="str">
        <f t="shared" si="0"/>
        <v>B-</v>
      </c>
    </row>
    <row r="24" spans="1:14" x14ac:dyDescent="0.35">
      <c r="A24">
        <v>20</v>
      </c>
      <c r="B24">
        <v>20230110600009</v>
      </c>
      <c r="C24" t="s">
        <v>104</v>
      </c>
      <c r="D24">
        <v>153756</v>
      </c>
      <c r="E24" t="s">
        <v>1</v>
      </c>
      <c r="F24" t="s">
        <v>3</v>
      </c>
      <c r="G24" s="3">
        <v>85</v>
      </c>
      <c r="H24" s="3"/>
      <c r="I24" s="3"/>
      <c r="J24" s="3">
        <v>90</v>
      </c>
      <c r="K24" s="3">
        <f>40+28</f>
        <v>68</v>
      </c>
      <c r="L24" s="3">
        <f>33+47</f>
        <v>80</v>
      </c>
      <c r="M24">
        <f>G24*Komponen!C10 + H24*Komponen!C11 + I24*Komponen!C12 + J24*Komponen!C13 + K24*Komponen!C14 + L24*Komponen!C15</f>
        <v>78.3</v>
      </c>
      <c r="N24" t="str">
        <f t="shared" si="0"/>
        <v>A-</v>
      </c>
    </row>
    <row r="25" spans="1:14" x14ac:dyDescent="0.35">
      <c r="A25">
        <v>21</v>
      </c>
      <c r="B25">
        <v>20230110600011</v>
      </c>
      <c r="C25" t="s">
        <v>105</v>
      </c>
      <c r="D25">
        <v>154134</v>
      </c>
      <c r="E25" t="s">
        <v>1</v>
      </c>
      <c r="F25" t="s">
        <v>3</v>
      </c>
      <c r="G25" s="3">
        <v>80</v>
      </c>
      <c r="H25" s="3"/>
      <c r="I25" s="3"/>
      <c r="J25" s="3">
        <v>80</v>
      </c>
      <c r="K25" s="3">
        <f>29+19</f>
        <v>48</v>
      </c>
      <c r="L25" s="3">
        <f>25+14</f>
        <v>39</v>
      </c>
      <c r="M25">
        <f>G25*Komponen!C10 + H25*Komponen!C11 + I25*Komponen!C12 + J25*Komponen!C13 + K25*Komponen!C14 + L25*Komponen!C15</f>
        <v>54.449999999999996</v>
      </c>
      <c r="N25" t="str">
        <f t="shared" si="0"/>
        <v>C</v>
      </c>
    </row>
    <row r="26" spans="1:14" x14ac:dyDescent="0.35">
      <c r="A26">
        <v>22</v>
      </c>
      <c r="B26">
        <v>20230110600012</v>
      </c>
      <c r="C26" t="s">
        <v>106</v>
      </c>
      <c r="D26">
        <v>153782</v>
      </c>
      <c r="E26" t="s">
        <v>1</v>
      </c>
      <c r="F26" t="s">
        <v>3</v>
      </c>
      <c r="G26" s="3">
        <v>80</v>
      </c>
      <c r="H26" s="3"/>
      <c r="I26" s="3"/>
      <c r="J26" s="3">
        <v>88</v>
      </c>
      <c r="K26" s="3">
        <f>29+25</f>
        <v>54</v>
      </c>
      <c r="L26" s="3">
        <f>43+5</f>
        <v>48</v>
      </c>
      <c r="M26">
        <f>G26*Komponen!C10 + H26*Komponen!C11 + I26*Komponen!C12 + J26*Komponen!C13 + K26*Komponen!C14 + L26*Komponen!C15</f>
        <v>61.3</v>
      </c>
      <c r="N26" t="str">
        <f t="shared" si="0"/>
        <v>B-</v>
      </c>
    </row>
    <row r="27" spans="1:14" x14ac:dyDescent="0.35">
      <c r="A27">
        <v>23</v>
      </c>
      <c r="B27">
        <v>20240110614001</v>
      </c>
      <c r="C27" t="s">
        <v>107</v>
      </c>
      <c r="D27">
        <v>158567</v>
      </c>
      <c r="E27" t="s">
        <v>1</v>
      </c>
      <c r="F27" t="s">
        <v>3</v>
      </c>
      <c r="G27" s="3">
        <v>85</v>
      </c>
      <c r="H27" s="3"/>
      <c r="I27" s="3"/>
      <c r="J27" s="3">
        <f>13+70</f>
        <v>83</v>
      </c>
      <c r="K27" s="3">
        <f>29+42</f>
        <v>71</v>
      </c>
      <c r="L27" s="3">
        <f>25+55</f>
        <v>80</v>
      </c>
      <c r="M27">
        <f>G27*Komponen!C10 + H27*Komponen!C11 + I27*Komponen!C12 + J27*Komponen!C13 + K27*Komponen!C14 + L27*Komponen!C15</f>
        <v>77.95</v>
      </c>
      <c r="N27" t="str">
        <f t="shared" si="0"/>
        <v>A-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YUNITA SEPTRIANA A</cp:lastModifiedBy>
  <dcterms:created xsi:type="dcterms:W3CDTF">2025-01-26T15:09:26Z</dcterms:created>
  <dcterms:modified xsi:type="dcterms:W3CDTF">2025-01-27T02:51:41Z</dcterms:modified>
  <cp:category>nilai</cp:category>
</cp:coreProperties>
</file>